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370" windowHeight="12015" activeTab="1"/>
  </bookViews>
  <sheets>
    <sheet name="Kosten-Rechnung" sheetId="1" r:id="rId1"/>
    <sheet name="Verbrauch" sheetId="2" r:id="rId2"/>
    <sheet name="Finanzierung" sheetId="3" r:id="rId3"/>
  </sheets>
  <definedNames/>
  <calcPr fullCalcOnLoad="1"/>
</workbook>
</file>

<file path=xl/comments2.xml><?xml version="1.0" encoding="utf-8"?>
<comments xmlns="http://schemas.openxmlformats.org/spreadsheetml/2006/main">
  <authors>
    <author>xxx</author>
  </authors>
  <commentList>
    <comment ref="D27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neuer Preis</t>
        </r>
      </text>
    </comment>
    <comment ref="D28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neuer Preis</t>
        </r>
      </text>
    </comment>
    <comment ref="D29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neuer Preis</t>
        </r>
      </text>
    </comment>
    <comment ref="G31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Lutwigsfelde 4%Rabat
</t>
        </r>
      </text>
    </comment>
    <comment ref="A47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Ventilspiel neu eingestellt</t>
        </r>
      </text>
    </comment>
  </commentList>
</comments>
</file>

<file path=xl/sharedStrings.xml><?xml version="1.0" encoding="utf-8"?>
<sst xmlns="http://schemas.openxmlformats.org/spreadsheetml/2006/main" count="72" uniqueCount="68">
  <si>
    <t>Tage</t>
  </si>
  <si>
    <t>Jahr</t>
  </si>
  <si>
    <t>Wochen</t>
  </si>
  <si>
    <t>Arbeitstage</t>
  </si>
  <si>
    <t>Urlaubstage</t>
  </si>
  <si>
    <t>Werktage</t>
  </si>
  <si>
    <t>Entfernungskilometer</t>
  </si>
  <si>
    <t>1 Tour</t>
  </si>
  <si>
    <t>Jahreskilometer</t>
  </si>
  <si>
    <t>Aktueller Benzinpreis</t>
  </si>
  <si>
    <t>Jahreskosten</t>
  </si>
  <si>
    <t>Verbrauch l/100km</t>
  </si>
  <si>
    <t>Jahresverbrauch</t>
  </si>
  <si>
    <t>Liter</t>
  </si>
  <si>
    <t>Unit</t>
  </si>
  <si>
    <t>Euro</t>
  </si>
  <si>
    <t>Aktueller Gaspreis</t>
  </si>
  <si>
    <t>Gascalcs</t>
  </si>
  <si>
    <t>Kostenersparnis</t>
  </si>
  <si>
    <t>Mehverbrauch Energiedichte %</t>
  </si>
  <si>
    <t>Umbaupreise</t>
  </si>
  <si>
    <t>Type</t>
  </si>
  <si>
    <t>Laufzeit [Monat]</t>
  </si>
  <si>
    <t>Zinssatz / Periode</t>
  </si>
  <si>
    <t>Zinssatz [%]</t>
  </si>
  <si>
    <t>Kredit</t>
  </si>
  <si>
    <t>Monat</t>
  </si>
  <si>
    <t>Zinsen</t>
  </si>
  <si>
    <t>Anfallenden Zinsen eines Monats</t>
  </si>
  <si>
    <t>Summe</t>
  </si>
  <si>
    <t>Gesamt</t>
  </si>
  <si>
    <t>Monatsrate</t>
  </si>
  <si>
    <t>Monatskosten</t>
  </si>
  <si>
    <t>Pro Monat</t>
  </si>
  <si>
    <t>Angebote</t>
  </si>
  <si>
    <t>Autronic AL-720/P</t>
  </si>
  <si>
    <t>Venturi Lamda-Kontroll System</t>
  </si>
  <si>
    <t>Umrüstungs Calculation Colt auf Gas</t>
  </si>
  <si>
    <t>MehrVerbrauch l/100km</t>
  </si>
  <si>
    <t>Gesamtverbrauch l/100km</t>
  </si>
  <si>
    <t>Ready Bank Berlin</t>
  </si>
  <si>
    <t>Konstante</t>
  </si>
  <si>
    <t>Berechnet</t>
  </si>
  <si>
    <t>Feiertage im Schnitt</t>
  </si>
  <si>
    <t>Datum der Preise von Mai/2007</t>
  </si>
  <si>
    <t>Tagespreis</t>
  </si>
  <si>
    <t>Datum</t>
  </si>
  <si>
    <t>km</t>
  </si>
  <si>
    <t>Füllmenge</t>
  </si>
  <si>
    <t>[Euro]</t>
  </si>
  <si>
    <t>[km]</t>
  </si>
  <si>
    <t>Betankung</t>
  </si>
  <si>
    <t>Verbrauch</t>
  </si>
  <si>
    <t>[l/100]</t>
  </si>
  <si>
    <t>Tankvolumen lt Hersteller 70 Liter</t>
  </si>
  <si>
    <t>[Liter]</t>
  </si>
  <si>
    <t xml:space="preserve">Erste Rate </t>
  </si>
  <si>
    <t>Tank leer gefahren</t>
  </si>
  <si>
    <t>Info</t>
  </si>
  <si>
    <t>Auf Benzin gerechnet</t>
  </si>
  <si>
    <t>Geringerverbrauch</t>
  </si>
  <si>
    <t>Literpreis</t>
  </si>
  <si>
    <t>Gewinn</t>
  </si>
  <si>
    <t>aktuell</t>
  </si>
  <si>
    <t>TankPreis</t>
  </si>
  <si>
    <t>-15% [l/100]</t>
  </si>
  <si>
    <t>Nur Autobahn</t>
  </si>
  <si>
    <t>Gasverbrauchsdiagramm Mitzubishi Colt GLXi 1500 66kW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</si>
</sst>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0\ [$€-1]_-;\-* #,##0.00\ [$€-1]_-;_-* &quot;-&quot;??\ [$€-1]_-"/>
    <numFmt numFmtId="178" formatCode="_-* #,##0.00\ [$€-1]_-;\-* #,##0.00\ [$€-1]_-;_-* &quot;-&quot;??\ [$€-1]_-;_-@_-"/>
    <numFmt numFmtId="179" formatCode="_-* #,##0.0\ [$€-1]_-;\-* #,##0.0\ [$€-1]_-;_-* &quot;-&quot;??\ [$€-1]_-"/>
    <numFmt numFmtId="180" formatCode="_-* #,##0\ [$€-1]_-;\-* #,##0\ [$€-1]_-;_-* &quot;-&quot;??\ [$€-1]_-"/>
    <numFmt numFmtId="181" formatCode="0.0000000"/>
    <numFmt numFmtId="182" formatCode="_-* #,##0.000\ [$€-1]_-;\-* #,##0.000\ [$€-1]_-;_-* &quot;-&quot;??\ [$€-1]_-"/>
    <numFmt numFmtId="183" formatCode="_-* #,##0.000\ [$€-1]_-;\-* #,##0.000\ [$€-1]_-;_-* &quot;-&quot;???\ [$€-1]_-;_-@_-"/>
    <numFmt numFmtId="184" formatCode="_-* #,##0.00\ [$€-1]_-;\-* #,##0.00\ [$€-1]_-;_-* &quot;-&quot;???\ [$€-1]_-;_-@_-"/>
    <numFmt numFmtId="185" formatCode="mmm\ yyyy"/>
    <numFmt numFmtId="186" formatCode="mmm\-yyyy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color indexed="5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80" fontId="0" fillId="0" borderId="0" xfId="18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7" fontId="0" fillId="0" borderId="0" xfId="18" applyAlignment="1">
      <alignment horizontal="center"/>
    </xf>
    <xf numFmtId="17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7" fontId="1" fillId="0" borderId="0" xfId="18" applyFont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177" fontId="1" fillId="0" borderId="3" xfId="18" applyFont="1" applyBorder="1" applyAlignment="1">
      <alignment horizontal="center"/>
    </xf>
    <xf numFmtId="177" fontId="7" fillId="0" borderId="8" xfId="18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8" fontId="8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82" fontId="0" fillId="0" borderId="0" xfId="18" applyNumberFormat="1" applyAlignment="1">
      <alignment horizontal="center"/>
    </xf>
    <xf numFmtId="176" fontId="11" fillId="0" borderId="0" xfId="0" applyNumberFormat="1" applyFont="1" applyAlignment="1">
      <alignment horizontal="center"/>
    </xf>
    <xf numFmtId="184" fontId="1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178" fontId="12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7" fillId="0" borderId="0" xfId="0" applyFon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18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Arial"/>
                <a:ea typeface="Arial"/>
                <a:cs typeface="Arial"/>
              </a:rPr>
              <a:t>Durchschnittsverbrauch [l/100km]</a:t>
            </a:r>
          </a:p>
        </c:rich>
      </c:tx>
      <c:layout>
        <c:manualLayout>
          <c:xMode val="factor"/>
          <c:yMode val="factor"/>
          <c:x val="-0.325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5"/>
          <c:w val="0.9155"/>
          <c:h val="0.842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Verbrauch!$A$6:$A$59</c:f>
              <c:strCache/>
            </c:strRef>
          </c:xVal>
          <c:yVal>
            <c:numRef>
              <c:f>Verbrauch!$F$6:$F$59</c:f>
              <c:numCache/>
            </c:numRef>
          </c:yVal>
          <c:smooth val="0"/>
        </c:ser>
        <c:axId val="55926414"/>
        <c:axId val="33575679"/>
      </c:scatterChart>
      <c:valAx>
        <c:axId val="5592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75679"/>
        <c:crosses val="autoZero"/>
        <c:crossBetween val="midCat"/>
        <c:dispUnits/>
      </c:valAx>
      <c:valAx>
        <c:axId val="33575679"/>
        <c:scaling>
          <c:orientation val="minMax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26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4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60</xdr:row>
      <xdr:rowOff>28575</xdr:rowOff>
    </xdr:from>
    <xdr:to>
      <xdr:col>14</xdr:col>
      <xdr:colOff>95250</xdr:colOff>
      <xdr:row>90</xdr:row>
      <xdr:rowOff>57150</xdr:rowOff>
    </xdr:to>
    <xdr:graphicFrame>
      <xdr:nvGraphicFramePr>
        <xdr:cNvPr id="1" name="Chart 13"/>
        <xdr:cNvGraphicFramePr/>
      </xdr:nvGraphicFramePr>
      <xdr:xfrm>
        <a:off x="171450" y="9782175"/>
        <a:ext cx="108108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6">
      <selection activeCell="C34" sqref="C34"/>
    </sheetView>
  </sheetViews>
  <sheetFormatPr defaultColWidth="11.421875" defaultRowHeight="12.75"/>
  <cols>
    <col min="1" max="1" width="1.28515625" style="0" customWidth="1"/>
    <col min="2" max="2" width="6.28125" style="0" customWidth="1"/>
    <col min="3" max="3" width="18.7109375" style="0" customWidth="1"/>
    <col min="4" max="4" width="16.00390625" style="1" customWidth="1"/>
    <col min="5" max="5" width="12.57421875" style="1" customWidth="1"/>
    <col min="6" max="6" width="7.8515625" style="0" customWidth="1"/>
    <col min="7" max="7" width="27.00390625" style="0" customWidth="1"/>
    <col min="8" max="8" width="7.7109375" style="0" customWidth="1"/>
    <col min="9" max="9" width="16.140625" style="1" bestFit="1" customWidth="1"/>
  </cols>
  <sheetData>
    <row r="1" spans="1:9" s="21" customFormat="1" ht="18">
      <c r="A1" s="21" t="s">
        <v>37</v>
      </c>
      <c r="D1" s="22"/>
      <c r="E1" s="22"/>
      <c r="I1" s="22"/>
    </row>
    <row r="2" ht="12.75">
      <c r="A2" t="s">
        <v>44</v>
      </c>
    </row>
    <row r="3" ht="13.5" thickBot="1"/>
    <row r="4" spans="2:9" s="2" customFormat="1" ht="16.5" thickBot="1">
      <c r="B4" s="31" t="s">
        <v>14</v>
      </c>
      <c r="C4" s="32"/>
      <c r="D4" s="33" t="s">
        <v>41</v>
      </c>
      <c r="E4" s="34" t="s">
        <v>42</v>
      </c>
      <c r="I4" s="23"/>
    </row>
    <row r="5" spans="2:5" ht="12.75">
      <c r="B5" s="35"/>
      <c r="C5" s="5" t="s">
        <v>1</v>
      </c>
      <c r="D5" s="36">
        <v>1</v>
      </c>
      <c r="E5" s="24"/>
    </row>
    <row r="6" spans="2:5" ht="12.75">
      <c r="B6" s="6"/>
      <c r="C6" s="3" t="s">
        <v>0</v>
      </c>
      <c r="D6" s="4">
        <v>365</v>
      </c>
      <c r="E6" s="7"/>
    </row>
    <row r="7" spans="2:5" ht="12.75">
      <c r="B7" s="6"/>
      <c r="C7" s="3" t="s">
        <v>2</v>
      </c>
      <c r="D7" s="4"/>
      <c r="E7" s="8">
        <f>D6/7</f>
        <v>52.142857142857146</v>
      </c>
    </row>
    <row r="8" spans="2:5" ht="12.75">
      <c r="B8" s="6"/>
      <c r="C8" s="3" t="s">
        <v>5</v>
      </c>
      <c r="D8" s="4"/>
      <c r="E8" s="8">
        <f>E7*5</f>
        <v>260.7142857142857</v>
      </c>
    </row>
    <row r="9" spans="2:5" ht="12.75">
      <c r="B9" s="6"/>
      <c r="C9" s="3" t="s">
        <v>4</v>
      </c>
      <c r="D9" s="4">
        <v>30</v>
      </c>
      <c r="E9" s="7"/>
    </row>
    <row r="10" spans="2:5" ht="12.75">
      <c r="B10" s="6"/>
      <c r="C10" s="43" t="s">
        <v>43</v>
      </c>
      <c r="D10" s="4">
        <v>7</v>
      </c>
      <c r="E10" s="7"/>
    </row>
    <row r="11" spans="2:5" ht="12.75">
      <c r="B11" s="6"/>
      <c r="C11" s="9" t="s">
        <v>3</v>
      </c>
      <c r="D11" s="10"/>
      <c r="E11" s="11">
        <f>E8-D9-D10</f>
        <v>223.71428571428572</v>
      </c>
    </row>
    <row r="12" spans="2:5" ht="12.75">
      <c r="B12" s="6"/>
      <c r="C12" s="3"/>
      <c r="D12" s="4"/>
      <c r="E12" s="7"/>
    </row>
    <row r="13" spans="2:5" ht="12.75">
      <c r="B13" s="6"/>
      <c r="C13" s="3" t="s">
        <v>6</v>
      </c>
      <c r="D13" s="4">
        <v>62</v>
      </c>
      <c r="E13" s="7"/>
    </row>
    <row r="14" spans="2:5" ht="13.5" thickBot="1">
      <c r="B14" s="6"/>
      <c r="C14" s="3" t="s">
        <v>7</v>
      </c>
      <c r="D14" s="4"/>
      <c r="E14" s="7">
        <f>D13*2</f>
        <v>124</v>
      </c>
    </row>
    <row r="15" spans="2:9" ht="12.75">
      <c r="B15" s="6"/>
      <c r="C15" s="3" t="s">
        <v>8</v>
      </c>
      <c r="D15" s="4"/>
      <c r="E15" s="8">
        <f>E14*E11</f>
        <v>27740.57142857143</v>
      </c>
      <c r="G15" s="16" t="s">
        <v>17</v>
      </c>
      <c r="H15" s="5"/>
      <c r="I15" s="24"/>
    </row>
    <row r="16" spans="2:9" ht="12.75">
      <c r="B16" s="6"/>
      <c r="C16" s="3"/>
      <c r="D16" s="4"/>
      <c r="E16" s="7"/>
      <c r="G16" s="6" t="s">
        <v>16</v>
      </c>
      <c r="H16" s="3">
        <v>0.64</v>
      </c>
      <c r="I16" s="7"/>
    </row>
    <row r="17" spans="2:9" ht="12.75">
      <c r="B17" s="6"/>
      <c r="C17" s="3" t="s">
        <v>9</v>
      </c>
      <c r="D17" s="4">
        <v>1.46</v>
      </c>
      <c r="E17" s="7"/>
      <c r="G17" s="6" t="s">
        <v>19</v>
      </c>
      <c r="H17" s="3">
        <v>15</v>
      </c>
      <c r="I17" s="7"/>
    </row>
    <row r="18" spans="2:9" ht="12.75">
      <c r="B18" s="6"/>
      <c r="C18" s="3" t="s">
        <v>11</v>
      </c>
      <c r="D18" s="4">
        <v>7.2</v>
      </c>
      <c r="E18" s="7"/>
      <c r="G18" s="6" t="s">
        <v>38</v>
      </c>
      <c r="H18" s="3">
        <f>D18/100*H17</f>
        <v>1.08</v>
      </c>
      <c r="I18" s="7"/>
    </row>
    <row r="19" spans="2:9" ht="12.75">
      <c r="B19" s="6" t="s">
        <v>13</v>
      </c>
      <c r="C19" s="3" t="s">
        <v>12</v>
      </c>
      <c r="D19" s="4"/>
      <c r="E19" s="8">
        <f>(E15/100)*D18</f>
        <v>1997.3211428571433</v>
      </c>
      <c r="G19" s="6" t="s">
        <v>39</v>
      </c>
      <c r="H19" s="3">
        <f>H18+D18</f>
        <v>8.280000000000001</v>
      </c>
      <c r="I19" s="7"/>
    </row>
    <row r="20" spans="2:9" ht="12.75">
      <c r="B20" s="6"/>
      <c r="C20" s="3"/>
      <c r="D20" s="4"/>
      <c r="E20" s="7"/>
      <c r="G20" s="6"/>
      <c r="H20" s="3"/>
      <c r="I20" s="8">
        <f>E15/100*H19</f>
        <v>2296.9193142857152</v>
      </c>
    </row>
    <row r="21" spans="2:9" s="15" customFormat="1" ht="12.75">
      <c r="B21" s="37" t="s">
        <v>15</v>
      </c>
      <c r="C21" s="9" t="s">
        <v>10</v>
      </c>
      <c r="D21" s="10"/>
      <c r="E21" s="38">
        <f>E19*D17</f>
        <v>2916.088868571429</v>
      </c>
      <c r="G21" s="37"/>
      <c r="H21" s="9"/>
      <c r="I21" s="40">
        <f>I20*H16</f>
        <v>1470.0283611428579</v>
      </c>
    </row>
    <row r="22" spans="2:9" s="15" customFormat="1" ht="13.5" thickBot="1">
      <c r="B22" s="12" t="s">
        <v>15</v>
      </c>
      <c r="C22" s="13" t="s">
        <v>32</v>
      </c>
      <c r="D22" s="14"/>
      <c r="E22" s="39">
        <f>E21/12</f>
        <v>243.00740571428574</v>
      </c>
      <c r="G22" s="12"/>
      <c r="H22" s="13"/>
      <c r="I22" s="41">
        <f>I21/12</f>
        <v>122.50236342857148</v>
      </c>
    </row>
    <row r="23" spans="1:9" s="20" customFormat="1" ht="18">
      <c r="A23" s="18"/>
      <c r="B23" s="18"/>
      <c r="C23" s="18"/>
      <c r="D23" s="19"/>
      <c r="E23" s="19"/>
      <c r="F23" s="18"/>
      <c r="G23" s="20" t="s">
        <v>18</v>
      </c>
      <c r="I23" s="25">
        <f>E21-I21</f>
        <v>1446.060507428571</v>
      </c>
    </row>
    <row r="24" spans="1:9" ht="15.75">
      <c r="A24" s="3"/>
      <c r="B24" s="3"/>
      <c r="C24" s="3"/>
      <c r="D24" s="4"/>
      <c r="E24" s="17"/>
      <c r="F24" s="3"/>
      <c r="G24" t="s">
        <v>33</v>
      </c>
      <c r="I24" s="42">
        <f>I23/12</f>
        <v>120.50504228571425</v>
      </c>
    </row>
    <row r="25" spans="1:6" ht="12.75">
      <c r="A25" s="3"/>
      <c r="B25" s="3"/>
      <c r="C25" s="3"/>
      <c r="D25" s="4"/>
      <c r="E25" s="17"/>
      <c r="F25" s="3"/>
    </row>
    <row r="26" spans="1:6" ht="12.75">
      <c r="A26" s="3"/>
      <c r="B26" s="3" t="s">
        <v>20</v>
      </c>
      <c r="C26" s="3"/>
      <c r="D26" s="4" t="s">
        <v>21</v>
      </c>
      <c r="E26" s="4"/>
      <c r="F26" s="3"/>
    </row>
    <row r="27" ht="12.75">
      <c r="E27" s="1">
        <v>2249</v>
      </c>
    </row>
    <row r="28" ht="12.75">
      <c r="E28" s="1">
        <v>2200</v>
      </c>
    </row>
    <row r="29" ht="12.75">
      <c r="B29" s="15" t="s">
        <v>34</v>
      </c>
    </row>
    <row r="30" ht="12.75">
      <c r="E30" s="1">
        <v>1700</v>
      </c>
    </row>
    <row r="31" spans="5:8" ht="12.75">
      <c r="E31" s="1">
        <v>1390</v>
      </c>
      <c r="F31" t="s">
        <v>36</v>
      </c>
      <c r="H31" s="28" t="s">
        <v>35</v>
      </c>
    </row>
  </sheetData>
  <printOptions/>
  <pageMargins left="0.75" right="0.75" top="1" bottom="1" header="0.4921259845" footer="0.49212598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26">
      <selection activeCell="M60" sqref="M60"/>
    </sheetView>
  </sheetViews>
  <sheetFormatPr defaultColWidth="11.421875" defaultRowHeight="12.75"/>
  <cols>
    <col min="1" max="1" width="11.421875" style="1" customWidth="1"/>
    <col min="2" max="2" width="10.00390625" style="1" customWidth="1"/>
    <col min="3" max="4" width="11.421875" style="1" customWidth="1"/>
    <col min="5" max="5" width="1.7109375" style="1" customWidth="1"/>
    <col min="6" max="7" width="11.421875" style="1" customWidth="1"/>
    <col min="8" max="8" width="16.421875" style="0" customWidth="1"/>
    <col min="9" max="9" width="20.8515625" style="0" customWidth="1"/>
  </cols>
  <sheetData>
    <row r="1" spans="1:7" s="2" customFormat="1" ht="15.75">
      <c r="A1" s="50" t="s">
        <v>67</v>
      </c>
      <c r="B1" s="23"/>
      <c r="C1" s="23"/>
      <c r="D1" s="23"/>
      <c r="E1" s="23"/>
      <c r="F1" s="23"/>
      <c r="G1" s="23"/>
    </row>
    <row r="2" ht="12.75">
      <c r="A2" s="28" t="s">
        <v>54</v>
      </c>
    </row>
    <row r="3" ht="12.75">
      <c r="I3" s="54" t="s">
        <v>59</v>
      </c>
    </row>
    <row r="4" spans="1:12" s="15" customFormat="1" ht="12.75">
      <c r="A4" s="29" t="s">
        <v>51</v>
      </c>
      <c r="B4" s="29" t="s">
        <v>47</v>
      </c>
      <c r="C4" s="29" t="s">
        <v>48</v>
      </c>
      <c r="D4" s="29" t="s">
        <v>45</v>
      </c>
      <c r="E4" s="29"/>
      <c r="F4" s="29" t="s">
        <v>52</v>
      </c>
      <c r="G4" s="29" t="s">
        <v>64</v>
      </c>
      <c r="H4" s="15" t="s">
        <v>58</v>
      </c>
      <c r="I4" s="53" t="s">
        <v>60</v>
      </c>
      <c r="J4" s="15" t="s">
        <v>61</v>
      </c>
      <c r="K4" s="29" t="s">
        <v>64</v>
      </c>
      <c r="L4" s="15" t="s">
        <v>62</v>
      </c>
    </row>
    <row r="5" spans="1:11" s="15" customFormat="1" ht="12.75">
      <c r="A5" s="45" t="s">
        <v>46</v>
      </c>
      <c r="B5" s="45" t="s">
        <v>50</v>
      </c>
      <c r="C5" s="45" t="s">
        <v>55</v>
      </c>
      <c r="D5" s="45" t="s">
        <v>49</v>
      </c>
      <c r="E5" s="29"/>
      <c r="F5" s="29" t="s">
        <v>53</v>
      </c>
      <c r="G5" s="29" t="s">
        <v>49</v>
      </c>
      <c r="I5" s="55" t="s">
        <v>65</v>
      </c>
      <c r="J5" s="15" t="s">
        <v>63</v>
      </c>
      <c r="K5" s="29" t="s">
        <v>49</v>
      </c>
    </row>
    <row r="6" spans="1:12" ht="12.75">
      <c r="A6" s="46">
        <v>39254</v>
      </c>
      <c r="B6" s="1">
        <v>357</v>
      </c>
      <c r="C6" s="1">
        <v>35.51</v>
      </c>
      <c r="D6" s="47">
        <v>0.639</v>
      </c>
      <c r="F6" s="48">
        <f aca="true" t="shared" si="0" ref="F6:F13">C6/B6*100</f>
        <v>9.946778711484592</v>
      </c>
      <c r="G6" s="49">
        <f aca="true" t="shared" si="1" ref="G6:G13">D6*C6</f>
        <v>22.69089</v>
      </c>
      <c r="I6" s="56">
        <f aca="true" t="shared" si="2" ref="I6:I17">F6-(F6/100*15)</f>
        <v>8.454761904761904</v>
      </c>
      <c r="J6" s="26">
        <v>1.39</v>
      </c>
      <c r="K6" s="57">
        <f aca="true" t="shared" si="3" ref="K6:K12">I6*J6*B6/100</f>
        <v>41.955065</v>
      </c>
      <c r="L6" s="52">
        <f aca="true" t="shared" si="4" ref="L6:L12">K6-G6</f>
        <v>19.264174999999998</v>
      </c>
    </row>
    <row r="7" spans="1:12" ht="12.75">
      <c r="A7" s="46">
        <v>39257</v>
      </c>
      <c r="B7" s="1">
        <v>524</v>
      </c>
      <c r="C7" s="1">
        <v>44.93</v>
      </c>
      <c r="D7" s="47">
        <v>0.639</v>
      </c>
      <c r="F7" s="48">
        <f t="shared" si="0"/>
        <v>8.57442748091603</v>
      </c>
      <c r="G7" s="49">
        <f t="shared" si="1"/>
        <v>28.71027</v>
      </c>
      <c r="I7" s="56">
        <f t="shared" si="2"/>
        <v>7.288263358778626</v>
      </c>
      <c r="J7" s="26">
        <v>1.4</v>
      </c>
      <c r="K7" s="57">
        <f t="shared" si="3"/>
        <v>53.4667</v>
      </c>
      <c r="L7" s="52">
        <f t="shared" si="4"/>
        <v>24.75643</v>
      </c>
    </row>
    <row r="8" spans="1:13" ht="12.75">
      <c r="A8" s="46">
        <v>39260</v>
      </c>
      <c r="B8" s="1">
        <v>470</v>
      </c>
      <c r="C8" s="1">
        <v>41.18</v>
      </c>
      <c r="D8" s="47">
        <v>0.639</v>
      </c>
      <c r="F8" s="48">
        <f t="shared" si="0"/>
        <v>8.761702127659575</v>
      </c>
      <c r="G8" s="49">
        <f t="shared" si="1"/>
        <v>26.31402</v>
      </c>
      <c r="I8" s="56">
        <f t="shared" si="2"/>
        <v>7.447446808510639</v>
      </c>
      <c r="J8" s="26">
        <v>1.36</v>
      </c>
      <c r="K8" s="57">
        <f t="shared" si="3"/>
        <v>47.60408</v>
      </c>
      <c r="L8" s="52">
        <f t="shared" si="4"/>
        <v>21.290060000000004</v>
      </c>
      <c r="M8" s="58">
        <f>SUM(L6:L8)</f>
        <v>65.310665</v>
      </c>
    </row>
    <row r="9" spans="1:12" ht="12.75">
      <c r="A9" s="46">
        <v>39268</v>
      </c>
      <c r="B9" s="1">
        <v>616</v>
      </c>
      <c r="C9" s="1">
        <v>52.48</v>
      </c>
      <c r="D9" s="47">
        <v>0.639</v>
      </c>
      <c r="F9" s="48">
        <f t="shared" si="0"/>
        <v>8.519480519480519</v>
      </c>
      <c r="G9" s="49">
        <f t="shared" si="1"/>
        <v>33.53472</v>
      </c>
      <c r="I9" s="56">
        <f t="shared" si="2"/>
        <v>7.241558441558441</v>
      </c>
      <c r="J9" s="26">
        <v>1.4</v>
      </c>
      <c r="K9" s="57">
        <f t="shared" si="3"/>
        <v>62.45119999999999</v>
      </c>
      <c r="L9" s="52">
        <f t="shared" si="4"/>
        <v>28.916479999999993</v>
      </c>
    </row>
    <row r="10" spans="1:13" ht="12.75">
      <c r="A10" s="46">
        <v>39275</v>
      </c>
      <c r="B10" s="1">
        <v>665</v>
      </c>
      <c r="C10" s="1">
        <v>58.85</v>
      </c>
      <c r="D10" s="47">
        <v>0.639</v>
      </c>
      <c r="F10" s="48">
        <f t="shared" si="0"/>
        <v>8.849624060150378</v>
      </c>
      <c r="G10" s="49">
        <f t="shared" si="1"/>
        <v>37.60515</v>
      </c>
      <c r="H10" t="s">
        <v>57</v>
      </c>
      <c r="I10" s="56">
        <f t="shared" si="2"/>
        <v>7.522180451127821</v>
      </c>
      <c r="J10" s="26">
        <v>1.41</v>
      </c>
      <c r="K10" s="57">
        <f t="shared" si="3"/>
        <v>70.53172500000001</v>
      </c>
      <c r="L10" s="52">
        <f t="shared" si="4"/>
        <v>32.92657500000001</v>
      </c>
      <c r="M10" s="58"/>
    </row>
    <row r="11" spans="1:12" ht="12.75">
      <c r="A11" s="46">
        <v>39285</v>
      </c>
      <c r="B11" s="1">
        <v>644</v>
      </c>
      <c r="C11" s="1">
        <v>52.84</v>
      </c>
      <c r="D11" s="47">
        <v>0.639</v>
      </c>
      <c r="F11" s="48">
        <f t="shared" si="0"/>
        <v>8.20496894409938</v>
      </c>
      <c r="G11" s="49">
        <f t="shared" si="1"/>
        <v>33.76476</v>
      </c>
      <c r="I11" s="56">
        <f t="shared" si="2"/>
        <v>6.974223602484472</v>
      </c>
      <c r="J11" s="26">
        <v>1.38</v>
      </c>
      <c r="K11" s="57">
        <f t="shared" si="3"/>
        <v>61.981320000000004</v>
      </c>
      <c r="L11" s="52">
        <f t="shared" si="4"/>
        <v>28.21656</v>
      </c>
    </row>
    <row r="12" spans="1:13" ht="12.75">
      <c r="A12" s="46">
        <v>39290</v>
      </c>
      <c r="B12" s="1">
        <v>607</v>
      </c>
      <c r="C12" s="1">
        <v>50.92</v>
      </c>
      <c r="D12" s="47">
        <v>0.639</v>
      </c>
      <c r="F12" s="48">
        <f t="shared" si="0"/>
        <v>8.388797364085669</v>
      </c>
      <c r="G12" s="49">
        <f t="shared" si="1"/>
        <v>32.53788</v>
      </c>
      <c r="I12" s="56">
        <f t="shared" si="2"/>
        <v>7.130477759472818</v>
      </c>
      <c r="J12" s="26">
        <v>1.36</v>
      </c>
      <c r="K12" s="57">
        <f t="shared" si="3"/>
        <v>58.86352000000001</v>
      </c>
      <c r="L12" s="52">
        <f t="shared" si="4"/>
        <v>26.325640000000007</v>
      </c>
      <c r="M12" s="58">
        <f>SUM(L9:L12)</f>
        <v>116.38525500000002</v>
      </c>
    </row>
    <row r="13" spans="1:12" ht="12.75">
      <c r="A13" s="46">
        <v>39296</v>
      </c>
      <c r="B13" s="1">
        <v>632</v>
      </c>
      <c r="C13" s="1">
        <v>57.97</v>
      </c>
      <c r="D13" s="47">
        <v>0.639</v>
      </c>
      <c r="F13" s="48">
        <f t="shared" si="0"/>
        <v>9.17246835443038</v>
      </c>
      <c r="G13" s="49">
        <f t="shared" si="1"/>
        <v>37.04283</v>
      </c>
      <c r="I13" s="56">
        <f t="shared" si="2"/>
        <v>7.796598101265824</v>
      </c>
      <c r="J13" s="26">
        <v>1.36</v>
      </c>
      <c r="K13" s="57">
        <f aca="true" t="shared" si="5" ref="K13:K19">I13*J13*B13/100</f>
        <v>67.01332000000001</v>
      </c>
      <c r="L13" s="52">
        <f aca="true" t="shared" si="6" ref="L13:L19">K13-G13</f>
        <v>29.970490000000005</v>
      </c>
    </row>
    <row r="14" spans="1:12" ht="12.75">
      <c r="A14" s="46">
        <v>39304</v>
      </c>
      <c r="B14" s="1">
        <v>660</v>
      </c>
      <c r="C14" s="1">
        <v>58.94</v>
      </c>
      <c r="D14" s="47">
        <v>0.639</v>
      </c>
      <c r="F14" s="48">
        <f aca="true" t="shared" si="7" ref="F14:F21">C14/B14*100</f>
        <v>8.93030303030303</v>
      </c>
      <c r="G14" s="49">
        <f aca="true" t="shared" si="8" ref="G14:G19">D14*C14</f>
        <v>37.66266</v>
      </c>
      <c r="I14" s="56">
        <f t="shared" si="2"/>
        <v>7.590757575757575</v>
      </c>
      <c r="J14" s="26">
        <v>1.36</v>
      </c>
      <c r="K14" s="57">
        <f t="shared" si="5"/>
        <v>68.13464</v>
      </c>
      <c r="L14" s="52">
        <f t="shared" si="6"/>
        <v>30.471980000000002</v>
      </c>
    </row>
    <row r="15" spans="1:13" ht="12.75">
      <c r="A15" s="46">
        <v>39324</v>
      </c>
      <c r="B15" s="1">
        <v>543</v>
      </c>
      <c r="C15" s="1">
        <v>49.9</v>
      </c>
      <c r="D15" s="47">
        <v>0.639</v>
      </c>
      <c r="F15" s="48">
        <f t="shared" si="7"/>
        <v>9.189686924493554</v>
      </c>
      <c r="G15" s="49">
        <f t="shared" si="8"/>
        <v>31.8861</v>
      </c>
      <c r="I15" s="56">
        <f t="shared" si="2"/>
        <v>7.8112338858195205</v>
      </c>
      <c r="J15" s="26">
        <v>1.36</v>
      </c>
      <c r="K15" s="57">
        <f t="shared" si="5"/>
        <v>57.684400000000004</v>
      </c>
      <c r="L15" s="52">
        <f t="shared" si="6"/>
        <v>25.798300000000005</v>
      </c>
      <c r="M15" s="58">
        <f>SUM(L13:L15)</f>
        <v>86.24077000000001</v>
      </c>
    </row>
    <row r="16" spans="1:12" ht="12.75">
      <c r="A16" s="46">
        <v>39330</v>
      </c>
      <c r="B16" s="1">
        <v>620</v>
      </c>
      <c r="C16" s="1">
        <v>53.57</v>
      </c>
      <c r="D16" s="47">
        <v>0.639</v>
      </c>
      <c r="F16" s="48">
        <f t="shared" si="7"/>
        <v>8.640322580645162</v>
      </c>
      <c r="G16" s="49">
        <f t="shared" si="8"/>
        <v>34.231230000000004</v>
      </c>
      <c r="I16" s="56">
        <f t="shared" si="2"/>
        <v>7.3442741935483875</v>
      </c>
      <c r="J16" s="26">
        <v>1.36</v>
      </c>
      <c r="K16" s="57">
        <f t="shared" si="5"/>
        <v>61.92692000000001</v>
      </c>
      <c r="L16" s="52">
        <f t="shared" si="6"/>
        <v>27.695690000000006</v>
      </c>
    </row>
    <row r="17" spans="1:12" ht="12.75">
      <c r="A17" s="46">
        <v>39345</v>
      </c>
      <c r="B17" s="1">
        <v>630</v>
      </c>
      <c r="C17" s="1">
        <v>56.98</v>
      </c>
      <c r="D17" s="47">
        <v>0.639</v>
      </c>
      <c r="F17" s="48">
        <f t="shared" si="7"/>
        <v>9.044444444444444</v>
      </c>
      <c r="G17" s="49">
        <f t="shared" si="8"/>
        <v>36.410219999999995</v>
      </c>
      <c r="I17" s="56">
        <f t="shared" si="2"/>
        <v>7.687777777777778</v>
      </c>
      <c r="J17" s="26">
        <v>1.36</v>
      </c>
      <c r="K17" s="57">
        <f t="shared" si="5"/>
        <v>65.86888</v>
      </c>
      <c r="L17" s="52">
        <f t="shared" si="6"/>
        <v>29.45866000000001</v>
      </c>
    </row>
    <row r="18" spans="1:13" ht="12.75">
      <c r="A18" s="46">
        <v>39347</v>
      </c>
      <c r="B18" s="1">
        <v>418</v>
      </c>
      <c r="C18" s="1">
        <v>35.01</v>
      </c>
      <c r="D18" s="47">
        <v>0.639</v>
      </c>
      <c r="F18" s="48">
        <f t="shared" si="7"/>
        <v>8.375598086124402</v>
      </c>
      <c r="G18" s="49">
        <f t="shared" si="8"/>
        <v>22.371389999999998</v>
      </c>
      <c r="I18" s="56">
        <f aca="true" t="shared" si="9" ref="I18:I25">F18-(F18/100*15)</f>
        <v>7.119258373205742</v>
      </c>
      <c r="J18" s="26">
        <v>1.36</v>
      </c>
      <c r="K18" s="57">
        <f t="shared" si="5"/>
        <v>40.471560000000004</v>
      </c>
      <c r="L18" s="52">
        <f t="shared" si="6"/>
        <v>18.100170000000006</v>
      </c>
      <c r="M18" s="58">
        <f>SUM(L16:L18)</f>
        <v>75.25452000000001</v>
      </c>
    </row>
    <row r="19" spans="1:12" ht="12.75">
      <c r="A19" s="46">
        <v>39367</v>
      </c>
      <c r="B19" s="1">
        <v>552</v>
      </c>
      <c r="C19" s="1">
        <v>48.07</v>
      </c>
      <c r="D19" s="47">
        <v>0.639</v>
      </c>
      <c r="F19" s="48">
        <f t="shared" si="7"/>
        <v>8.708333333333334</v>
      </c>
      <c r="G19" s="49">
        <f t="shared" si="8"/>
        <v>30.716730000000002</v>
      </c>
      <c r="I19" s="56">
        <f t="shared" si="9"/>
        <v>7.402083333333334</v>
      </c>
      <c r="J19" s="26">
        <v>1.36</v>
      </c>
      <c r="K19" s="57">
        <f t="shared" si="5"/>
        <v>55.568920000000006</v>
      </c>
      <c r="L19" s="52">
        <f t="shared" si="6"/>
        <v>24.852190000000004</v>
      </c>
    </row>
    <row r="20" spans="1:12" ht="12.75">
      <c r="A20" s="46">
        <v>39373</v>
      </c>
      <c r="B20" s="1">
        <v>606</v>
      </c>
      <c r="C20" s="1">
        <v>52.35</v>
      </c>
      <c r="D20" s="47">
        <v>0.639</v>
      </c>
      <c r="F20" s="48">
        <f t="shared" si="7"/>
        <v>8.638613861386139</v>
      </c>
      <c r="G20" s="49">
        <f aca="true" t="shared" si="10" ref="G20:G26">D20*C20</f>
        <v>33.45165</v>
      </c>
      <c r="I20" s="56">
        <f t="shared" si="9"/>
        <v>7.342821782178218</v>
      </c>
      <c r="J20" s="26">
        <v>1.36</v>
      </c>
      <c r="K20" s="57">
        <f aca="true" t="shared" si="11" ref="K20:K26">I20*J20*B20/100</f>
        <v>60.51660000000001</v>
      </c>
      <c r="L20" s="52">
        <f aca="true" t="shared" si="12" ref="L20:L25">K20-G20</f>
        <v>27.06495000000001</v>
      </c>
    </row>
    <row r="21" spans="1:13" ht="12.75">
      <c r="A21" s="46">
        <v>39378</v>
      </c>
      <c r="B21" s="1">
        <v>442</v>
      </c>
      <c r="C21" s="1">
        <v>40.18</v>
      </c>
      <c r="D21" s="47">
        <v>0.639</v>
      </c>
      <c r="F21" s="48">
        <f t="shared" si="7"/>
        <v>9.09049773755656</v>
      </c>
      <c r="G21" s="49">
        <f t="shared" si="10"/>
        <v>25.67502</v>
      </c>
      <c r="I21" s="56">
        <f t="shared" si="9"/>
        <v>7.726923076923077</v>
      </c>
      <c r="J21" s="26">
        <v>1.36</v>
      </c>
      <c r="K21" s="57">
        <f t="shared" si="11"/>
        <v>46.44808</v>
      </c>
      <c r="L21" s="52">
        <f t="shared" si="12"/>
        <v>20.773059999999997</v>
      </c>
      <c r="M21" s="58">
        <f>SUM(L19:L21)</f>
        <v>72.69020000000002</v>
      </c>
    </row>
    <row r="22" spans="1:12" ht="12.75">
      <c r="A22" s="46">
        <v>39387</v>
      </c>
      <c r="B22" s="1">
        <v>665</v>
      </c>
      <c r="C22" s="1">
        <v>58.49</v>
      </c>
      <c r="D22" s="47">
        <v>0.639</v>
      </c>
      <c r="F22" s="48">
        <f aca="true" t="shared" si="13" ref="F22:F27">C22/B22*100</f>
        <v>8.795488721804512</v>
      </c>
      <c r="G22" s="49">
        <f t="shared" si="10"/>
        <v>37.37511</v>
      </c>
      <c r="I22" s="56">
        <f t="shared" si="9"/>
        <v>7.476165413533835</v>
      </c>
      <c r="J22" s="26">
        <v>1.46</v>
      </c>
      <c r="K22" s="57">
        <f t="shared" si="11"/>
        <v>72.58609</v>
      </c>
      <c r="L22" s="52">
        <f t="shared" si="12"/>
        <v>35.21098</v>
      </c>
    </row>
    <row r="23" spans="1:12" ht="12.75">
      <c r="A23" s="46">
        <v>39409</v>
      </c>
      <c r="B23" s="1">
        <v>561</v>
      </c>
      <c r="C23" s="1">
        <v>51.24</v>
      </c>
      <c r="D23" s="47">
        <v>0.639</v>
      </c>
      <c r="F23" s="48">
        <f t="shared" si="13"/>
        <v>9.133689839572193</v>
      </c>
      <c r="G23" s="49">
        <f t="shared" si="10"/>
        <v>32.742360000000005</v>
      </c>
      <c r="I23" s="56">
        <f t="shared" si="9"/>
        <v>7.763636363636365</v>
      </c>
      <c r="J23" s="26">
        <v>1.46</v>
      </c>
      <c r="K23" s="57">
        <f t="shared" si="11"/>
        <v>63.58884</v>
      </c>
      <c r="L23" s="52">
        <f t="shared" si="12"/>
        <v>30.846479999999993</v>
      </c>
    </row>
    <row r="24" spans="1:12" ht="12.75">
      <c r="A24" s="46">
        <v>39409</v>
      </c>
      <c r="B24" s="1">
        <v>252</v>
      </c>
      <c r="C24" s="1">
        <v>21.97</v>
      </c>
      <c r="D24" s="47">
        <v>0.639</v>
      </c>
      <c r="F24" s="48">
        <f t="shared" si="13"/>
        <v>8.718253968253968</v>
      </c>
      <c r="G24" s="49">
        <f t="shared" si="10"/>
        <v>14.038829999999999</v>
      </c>
      <c r="I24" s="56">
        <f>F24-(F24/100*15)</f>
        <v>7.410515873015873</v>
      </c>
      <c r="J24" s="26">
        <v>1.46</v>
      </c>
      <c r="K24" s="57">
        <f t="shared" si="11"/>
        <v>27.26477</v>
      </c>
      <c r="L24" s="52">
        <f t="shared" si="12"/>
        <v>13.22594</v>
      </c>
    </row>
    <row r="25" spans="1:13" ht="12.75">
      <c r="A25" s="46">
        <v>39412</v>
      </c>
      <c r="B25" s="1">
        <v>680</v>
      </c>
      <c r="C25" s="1">
        <v>58.72</v>
      </c>
      <c r="D25" s="47">
        <v>0.639</v>
      </c>
      <c r="F25" s="48">
        <f t="shared" si="13"/>
        <v>8.635294117647058</v>
      </c>
      <c r="G25" s="49">
        <f t="shared" si="10"/>
        <v>37.52208</v>
      </c>
      <c r="H25" t="s">
        <v>66</v>
      </c>
      <c r="I25" s="56">
        <f t="shared" si="9"/>
        <v>7.34</v>
      </c>
      <c r="J25" s="26">
        <v>1.36</v>
      </c>
      <c r="K25" s="57">
        <f t="shared" si="11"/>
        <v>67.88032</v>
      </c>
      <c r="L25" s="52">
        <f t="shared" si="12"/>
        <v>30.358239999999995</v>
      </c>
      <c r="M25" s="58">
        <f>SUM(L22:L25)</f>
        <v>109.64163999999998</v>
      </c>
    </row>
    <row r="26" spans="1:12" ht="12.75">
      <c r="A26" s="46">
        <v>39422</v>
      </c>
      <c r="B26" s="1">
        <v>510</v>
      </c>
      <c r="C26" s="1">
        <v>44.26</v>
      </c>
      <c r="D26" s="47">
        <v>0.639</v>
      </c>
      <c r="F26" s="48">
        <f t="shared" si="13"/>
        <v>8.678431372549019</v>
      </c>
      <c r="G26" s="49">
        <f t="shared" si="10"/>
        <v>28.28214</v>
      </c>
      <c r="I26" s="56">
        <f aca="true" t="shared" si="14" ref="I26:I46">F26-(F26/100*15)</f>
        <v>7.376666666666666</v>
      </c>
      <c r="J26" s="26">
        <v>1.36</v>
      </c>
      <c r="K26" s="57">
        <f t="shared" si="11"/>
        <v>51.16456</v>
      </c>
      <c r="L26" s="52">
        <f aca="true" t="shared" si="15" ref="L26:L31">K26-G26</f>
        <v>22.882420000000003</v>
      </c>
    </row>
    <row r="27" spans="1:12" ht="12.75">
      <c r="A27" s="46">
        <v>39428</v>
      </c>
      <c r="B27" s="1">
        <v>568</v>
      </c>
      <c r="C27" s="1">
        <v>51.22</v>
      </c>
      <c r="D27" s="47">
        <v>0.659</v>
      </c>
      <c r="F27" s="48">
        <f t="shared" si="13"/>
        <v>9.017605633802816</v>
      </c>
      <c r="G27" s="49">
        <f>D27*C27</f>
        <v>33.75398</v>
      </c>
      <c r="I27" s="56">
        <f t="shared" si="14"/>
        <v>7.6649647887323935</v>
      </c>
      <c r="J27" s="26">
        <v>1.36</v>
      </c>
      <c r="K27" s="57">
        <f>I27*J27*B27/100</f>
        <v>59.21032</v>
      </c>
      <c r="L27" s="52">
        <f t="shared" si="15"/>
        <v>25.456340000000004</v>
      </c>
    </row>
    <row r="28" spans="1:13" ht="12.75">
      <c r="A28" s="46">
        <v>39436</v>
      </c>
      <c r="B28" s="1">
        <v>512</v>
      </c>
      <c r="C28" s="1">
        <v>49.56</v>
      </c>
      <c r="D28" s="47">
        <v>0.669</v>
      </c>
      <c r="F28" s="48">
        <f aca="true" t="shared" si="16" ref="F28:F38">C28/B28*100</f>
        <v>9.6796875</v>
      </c>
      <c r="G28" s="49">
        <f>D28*C28</f>
        <v>33.155640000000005</v>
      </c>
      <c r="I28" s="56">
        <f t="shared" si="14"/>
        <v>8.227734375</v>
      </c>
      <c r="J28" s="26">
        <v>1.39</v>
      </c>
      <c r="K28" s="57">
        <f>I28*J28*B28/100</f>
        <v>58.55514</v>
      </c>
      <c r="L28" s="52">
        <f t="shared" si="15"/>
        <v>25.399499999999996</v>
      </c>
      <c r="M28" s="58">
        <f>SUM(L26:L28)</f>
        <v>73.73826</v>
      </c>
    </row>
    <row r="29" spans="1:13" ht="12.75">
      <c r="A29" s="46">
        <v>39476</v>
      </c>
      <c r="B29" s="1">
        <v>640</v>
      </c>
      <c r="C29" s="1">
        <v>58.45</v>
      </c>
      <c r="D29" s="47">
        <v>0.689</v>
      </c>
      <c r="F29" s="48">
        <f t="shared" si="16"/>
        <v>9.132812500000002</v>
      </c>
      <c r="G29" s="49">
        <f>D29*C29</f>
        <v>40.27205</v>
      </c>
      <c r="I29" s="56">
        <f t="shared" si="14"/>
        <v>7.762890625000002</v>
      </c>
      <c r="J29" s="26">
        <v>1.39</v>
      </c>
      <c r="K29" s="57">
        <f>I29*J29*B29/100</f>
        <v>69.05867500000001</v>
      </c>
      <c r="L29" s="52">
        <f t="shared" si="15"/>
        <v>28.786625000000008</v>
      </c>
      <c r="M29" s="58">
        <f>L29</f>
        <v>28.786625000000008</v>
      </c>
    </row>
    <row r="30" spans="1:12" ht="12.75">
      <c r="A30" s="46">
        <v>39491</v>
      </c>
      <c r="B30" s="1">
        <v>574</v>
      </c>
      <c r="C30" s="1">
        <v>50.3</v>
      </c>
      <c r="D30" s="47">
        <v>0.689</v>
      </c>
      <c r="F30" s="48">
        <f t="shared" si="16"/>
        <v>8.763066202090592</v>
      </c>
      <c r="G30" s="49">
        <f>D30*C30</f>
        <v>34.656699999999994</v>
      </c>
      <c r="I30" s="56">
        <f t="shared" si="14"/>
        <v>7.4486062717770025</v>
      </c>
      <c r="J30" s="26">
        <v>1.39</v>
      </c>
      <c r="K30" s="57">
        <f>I30*J30*B30/100</f>
        <v>59.42944999999999</v>
      </c>
      <c r="L30" s="52">
        <f t="shared" si="15"/>
        <v>24.772749999999995</v>
      </c>
    </row>
    <row r="31" spans="1:13" ht="12.75">
      <c r="A31" s="46">
        <v>39505</v>
      </c>
      <c r="B31" s="1">
        <v>589</v>
      </c>
      <c r="C31" s="1">
        <v>51</v>
      </c>
      <c r="D31" s="1">
        <v>0.68</v>
      </c>
      <c r="F31" s="48">
        <f t="shared" si="16"/>
        <v>8.65874363327674</v>
      </c>
      <c r="G31" s="49">
        <f aca="true" t="shared" si="17" ref="G31:G38">(D31*C31)-(D31*C31*0.04)</f>
        <v>33.2928</v>
      </c>
      <c r="I31" s="56">
        <f t="shared" si="14"/>
        <v>7.3599320882852295</v>
      </c>
      <c r="J31" s="26">
        <v>1.39</v>
      </c>
      <c r="K31" s="57">
        <f>I31*J31*B31/100</f>
        <v>60.256499999999996</v>
      </c>
      <c r="L31" s="52">
        <f t="shared" si="15"/>
        <v>26.963699999999996</v>
      </c>
      <c r="M31" s="58">
        <f>L30+L31</f>
        <v>51.73644999999999</v>
      </c>
    </row>
    <row r="32" spans="1:12" ht="12.75">
      <c r="A32" s="46">
        <v>39515</v>
      </c>
      <c r="B32" s="1">
        <v>679</v>
      </c>
      <c r="C32" s="1">
        <v>53.91</v>
      </c>
      <c r="D32" s="1">
        <v>0.68</v>
      </c>
      <c r="F32" s="48">
        <f t="shared" si="16"/>
        <v>7.93961708394698</v>
      </c>
      <c r="G32" s="49">
        <f t="shared" si="17"/>
        <v>35.192448</v>
      </c>
      <c r="I32" s="56">
        <f>F32-(F32/100*15)</f>
        <v>6.748674521354933</v>
      </c>
      <c r="J32" s="26">
        <v>1.39</v>
      </c>
      <c r="K32" s="57">
        <f aca="true" t="shared" si="18" ref="K32:K46">I32*J32*B32/100</f>
        <v>63.694664999999986</v>
      </c>
      <c r="L32" s="52">
        <f aca="true" t="shared" si="19" ref="L32:L46">K32-G32</f>
        <v>28.502216999999987</v>
      </c>
    </row>
    <row r="33" spans="1:13" ht="12.75">
      <c r="A33" s="46">
        <v>39520</v>
      </c>
      <c r="B33" s="1">
        <v>588</v>
      </c>
      <c r="C33" s="1">
        <v>48.37</v>
      </c>
      <c r="D33" s="1">
        <v>0.68</v>
      </c>
      <c r="F33" s="48">
        <f t="shared" si="16"/>
        <v>8.226190476190476</v>
      </c>
      <c r="G33" s="49">
        <f t="shared" si="17"/>
        <v>31.575936000000002</v>
      </c>
      <c r="I33" s="56">
        <f t="shared" si="14"/>
        <v>6.9922619047619055</v>
      </c>
      <c r="J33" s="26">
        <v>1.39</v>
      </c>
      <c r="K33" s="57">
        <f t="shared" si="18"/>
        <v>57.149155</v>
      </c>
      <c r="L33" s="52">
        <f t="shared" si="19"/>
        <v>25.573218999999998</v>
      </c>
      <c r="M33" s="58"/>
    </row>
    <row r="34" spans="1:13" ht="12.75">
      <c r="A34" s="46">
        <v>39532</v>
      </c>
      <c r="B34" s="1">
        <v>490</v>
      </c>
      <c r="C34" s="1">
        <v>43.21</v>
      </c>
      <c r="D34" s="1">
        <v>0.68</v>
      </c>
      <c r="F34" s="48">
        <f t="shared" si="16"/>
        <v>8.818367346938775</v>
      </c>
      <c r="G34" s="49">
        <f t="shared" si="17"/>
        <v>28.207488</v>
      </c>
      <c r="I34" s="56">
        <f t="shared" si="14"/>
        <v>7.495612244897958</v>
      </c>
      <c r="J34" s="26">
        <v>1.39</v>
      </c>
      <c r="K34" s="57">
        <f t="shared" si="18"/>
        <v>51.05261499999999</v>
      </c>
      <c r="L34" s="52">
        <f t="shared" si="19"/>
        <v>22.845126999999987</v>
      </c>
      <c r="M34" s="58">
        <f>SUM(L32:L34)</f>
        <v>76.92056299999997</v>
      </c>
    </row>
    <row r="35" spans="1:12" ht="12.75">
      <c r="A35" s="46">
        <v>39540</v>
      </c>
      <c r="B35" s="1">
        <v>647</v>
      </c>
      <c r="C35" s="1">
        <v>52.4</v>
      </c>
      <c r="D35" s="1">
        <v>0.68</v>
      </c>
      <c r="F35" s="48">
        <f t="shared" si="16"/>
        <v>8.098918083462133</v>
      </c>
      <c r="G35" s="49">
        <f t="shared" si="17"/>
        <v>34.206720000000004</v>
      </c>
      <c r="I35" s="56">
        <f t="shared" si="14"/>
        <v>6.884080370942812</v>
      </c>
      <c r="J35" s="26">
        <v>1.39</v>
      </c>
      <c r="K35" s="57">
        <f t="shared" si="18"/>
        <v>61.910599999999995</v>
      </c>
      <c r="L35" s="52">
        <f t="shared" si="19"/>
        <v>27.70387999999999</v>
      </c>
    </row>
    <row r="36" spans="1:12" ht="12.75">
      <c r="A36" s="46">
        <v>39546</v>
      </c>
      <c r="B36" s="1">
        <v>623</v>
      </c>
      <c r="C36" s="1">
        <v>52.8</v>
      </c>
      <c r="D36" s="1">
        <v>0.68</v>
      </c>
      <c r="F36" s="48">
        <f t="shared" si="16"/>
        <v>8.475120385232744</v>
      </c>
      <c r="G36" s="49">
        <f t="shared" si="17"/>
        <v>34.46784</v>
      </c>
      <c r="I36" s="56">
        <f t="shared" si="14"/>
        <v>7.203852327447832</v>
      </c>
      <c r="J36" s="26">
        <v>1.39</v>
      </c>
      <c r="K36" s="57">
        <f t="shared" si="18"/>
        <v>62.38319999999999</v>
      </c>
      <c r="L36" s="52">
        <f t="shared" si="19"/>
        <v>27.915359999999986</v>
      </c>
    </row>
    <row r="37" spans="1:12" ht="12.75">
      <c r="A37" s="46">
        <v>39553</v>
      </c>
      <c r="B37" s="1">
        <v>529</v>
      </c>
      <c r="C37" s="1">
        <v>43.12</v>
      </c>
      <c r="D37" s="1">
        <v>0.68</v>
      </c>
      <c r="F37" s="48">
        <f t="shared" si="16"/>
        <v>8.151228733459357</v>
      </c>
      <c r="G37" s="49">
        <f t="shared" si="17"/>
        <v>28.148736</v>
      </c>
      <c r="I37" s="56">
        <f t="shared" si="14"/>
        <v>6.928544423440453</v>
      </c>
      <c r="J37" s="26">
        <v>1.39</v>
      </c>
      <c r="K37" s="57">
        <f t="shared" si="18"/>
        <v>50.94627999999999</v>
      </c>
      <c r="L37" s="52">
        <f t="shared" si="19"/>
        <v>22.797543999999988</v>
      </c>
    </row>
    <row r="38" spans="1:13" ht="12.75">
      <c r="A38" s="46">
        <v>39560</v>
      </c>
      <c r="B38" s="1">
        <v>607</v>
      </c>
      <c r="C38" s="1">
        <v>47.13</v>
      </c>
      <c r="D38" s="1">
        <v>0.68</v>
      </c>
      <c r="F38" s="48">
        <f t="shared" si="16"/>
        <v>7.764415156507414</v>
      </c>
      <c r="G38" s="49">
        <f t="shared" si="17"/>
        <v>30.766464</v>
      </c>
      <c r="I38" s="56">
        <f t="shared" si="14"/>
        <v>6.599752883031302</v>
      </c>
      <c r="J38" s="26">
        <v>1.44</v>
      </c>
      <c r="K38" s="57">
        <f t="shared" si="18"/>
        <v>57.68712000000001</v>
      </c>
      <c r="L38" s="52">
        <f t="shared" si="19"/>
        <v>26.920656000000008</v>
      </c>
      <c r="M38" s="58">
        <f>SUM(L35:L38)</f>
        <v>105.33743999999997</v>
      </c>
    </row>
    <row r="39" spans="1:12" ht="12.75">
      <c r="A39" s="46">
        <v>39578</v>
      </c>
      <c r="B39" s="1">
        <v>632</v>
      </c>
      <c r="C39" s="1">
        <v>48.65</v>
      </c>
      <c r="D39" s="1">
        <v>0.68</v>
      </c>
      <c r="F39" s="48">
        <f aca="true" t="shared" si="20" ref="F39:F53">C39/B39*100</f>
        <v>7.697784810126581</v>
      </c>
      <c r="G39" s="49">
        <f aca="true" t="shared" si="21" ref="G39:G53">(D39*C39)-(D39*C39*0.04)</f>
        <v>31.75872</v>
      </c>
      <c r="I39" s="56">
        <f t="shared" si="14"/>
        <v>6.543117088607594</v>
      </c>
      <c r="J39" s="26">
        <v>1.56</v>
      </c>
      <c r="K39" s="57">
        <f t="shared" si="18"/>
        <v>64.5099</v>
      </c>
      <c r="L39" s="52">
        <f t="shared" si="19"/>
        <v>32.751180000000005</v>
      </c>
    </row>
    <row r="40" spans="1:12" ht="12.75">
      <c r="A40" s="46">
        <v>39587</v>
      </c>
      <c r="B40" s="1">
        <v>603</v>
      </c>
      <c r="C40" s="1">
        <v>50.59</v>
      </c>
      <c r="D40" s="1">
        <v>0.68</v>
      </c>
      <c r="F40" s="48">
        <f t="shared" si="20"/>
        <v>8.389718076285241</v>
      </c>
      <c r="G40" s="49">
        <f t="shared" si="21"/>
        <v>33.025152000000006</v>
      </c>
      <c r="I40" s="56">
        <f t="shared" si="14"/>
        <v>7.131260364842455</v>
      </c>
      <c r="J40" s="26">
        <v>1.56</v>
      </c>
      <c r="K40" s="57">
        <f t="shared" si="18"/>
        <v>67.08234</v>
      </c>
      <c r="L40" s="52">
        <f t="shared" si="19"/>
        <v>34.057188</v>
      </c>
    </row>
    <row r="41" spans="1:13" ht="12.75">
      <c r="A41" s="46">
        <v>39595</v>
      </c>
      <c r="B41" s="1">
        <v>605</v>
      </c>
      <c r="C41" s="1">
        <v>47.25</v>
      </c>
      <c r="D41" s="1">
        <v>0.68</v>
      </c>
      <c r="F41" s="48">
        <f t="shared" si="20"/>
        <v>7.809917355371901</v>
      </c>
      <c r="G41" s="49">
        <f t="shared" si="21"/>
        <v>30.844800000000003</v>
      </c>
      <c r="I41" s="56">
        <f t="shared" si="14"/>
        <v>6.638429752066116</v>
      </c>
      <c r="J41" s="26">
        <v>1.56</v>
      </c>
      <c r="K41" s="57">
        <f t="shared" si="18"/>
        <v>62.653500000000015</v>
      </c>
      <c r="L41" s="52">
        <f t="shared" si="19"/>
        <v>31.808700000000012</v>
      </c>
      <c r="M41" s="58">
        <f>SUM(L39:L41)</f>
        <v>98.61706800000002</v>
      </c>
    </row>
    <row r="42" spans="1:12" ht="12.75">
      <c r="A42" s="46">
        <v>39602</v>
      </c>
      <c r="B42" s="1">
        <v>629</v>
      </c>
      <c r="C42" s="1">
        <v>45.83</v>
      </c>
      <c r="D42" s="1">
        <v>0.68</v>
      </c>
      <c r="F42" s="48">
        <f t="shared" si="20"/>
        <v>7.286168521462638</v>
      </c>
      <c r="G42" s="49">
        <f t="shared" si="21"/>
        <v>29.917824</v>
      </c>
      <c r="I42" s="56">
        <f t="shared" si="14"/>
        <v>6.193243243243243</v>
      </c>
      <c r="J42" s="26">
        <v>1.56</v>
      </c>
      <c r="K42" s="57">
        <f t="shared" si="18"/>
        <v>60.77058</v>
      </c>
      <c r="L42" s="52">
        <f t="shared" si="19"/>
        <v>30.852756000000003</v>
      </c>
    </row>
    <row r="43" spans="1:13" ht="12.75">
      <c r="A43" s="46">
        <v>39609</v>
      </c>
      <c r="B43" s="1">
        <v>647</v>
      </c>
      <c r="C43" s="1">
        <v>51.93</v>
      </c>
      <c r="D43" s="1">
        <v>0.68</v>
      </c>
      <c r="F43" s="48">
        <f t="shared" si="20"/>
        <v>8.02627511591963</v>
      </c>
      <c r="G43" s="49">
        <f t="shared" si="21"/>
        <v>33.89990400000001</v>
      </c>
      <c r="I43" s="56">
        <f t="shared" si="14"/>
        <v>6.822333848531685</v>
      </c>
      <c r="J43" s="26">
        <v>1.56</v>
      </c>
      <c r="K43" s="57">
        <f t="shared" si="18"/>
        <v>68.85918000000001</v>
      </c>
      <c r="L43" s="52">
        <f t="shared" si="19"/>
        <v>34.959276</v>
      </c>
      <c r="M43" s="59"/>
    </row>
    <row r="44" spans="1:13" ht="12.75">
      <c r="A44" s="46">
        <v>39616</v>
      </c>
      <c r="B44" s="1">
        <v>570</v>
      </c>
      <c r="C44" s="1">
        <v>56.59</v>
      </c>
      <c r="D44" s="1">
        <v>0.699</v>
      </c>
      <c r="F44" s="48">
        <f t="shared" si="20"/>
        <v>9.928070175438597</v>
      </c>
      <c r="G44" s="49">
        <f t="shared" si="21"/>
        <v>37.9741536</v>
      </c>
      <c r="I44" s="56">
        <f t="shared" si="14"/>
        <v>8.438859649122808</v>
      </c>
      <c r="J44" s="26">
        <v>1.56</v>
      </c>
      <c r="K44" s="57">
        <f t="shared" si="18"/>
        <v>75.03834000000002</v>
      </c>
      <c r="L44" s="52">
        <f t="shared" si="19"/>
        <v>37.06418640000002</v>
      </c>
      <c r="M44" s="58">
        <f>SUM(L42:L44)</f>
        <v>102.87621840000003</v>
      </c>
    </row>
    <row r="45" spans="1:12" ht="12.75">
      <c r="A45" s="46">
        <v>39630</v>
      </c>
      <c r="B45" s="1">
        <v>606</v>
      </c>
      <c r="C45" s="1">
        <v>41.43</v>
      </c>
      <c r="D45" s="1">
        <v>0.699</v>
      </c>
      <c r="F45" s="48">
        <f t="shared" si="20"/>
        <v>6.836633663366337</v>
      </c>
      <c r="G45" s="49">
        <f t="shared" si="21"/>
        <v>27.8011872</v>
      </c>
      <c r="I45" s="56">
        <f t="shared" si="14"/>
        <v>5.811138613861386</v>
      </c>
      <c r="J45" s="26">
        <v>1.56</v>
      </c>
      <c r="K45" s="57">
        <f t="shared" si="18"/>
        <v>54.93618000000001</v>
      </c>
      <c r="L45" s="52">
        <f t="shared" si="19"/>
        <v>27.134992800000006</v>
      </c>
    </row>
    <row r="46" spans="1:12" ht="12.75">
      <c r="A46" s="46">
        <v>39636</v>
      </c>
      <c r="B46" s="1">
        <v>628</v>
      </c>
      <c r="C46" s="1">
        <v>48.96</v>
      </c>
      <c r="D46" s="1">
        <v>0.699</v>
      </c>
      <c r="F46" s="48">
        <f t="shared" si="20"/>
        <v>7.796178343949045</v>
      </c>
      <c r="G46" s="49">
        <f t="shared" si="21"/>
        <v>32.8541184</v>
      </c>
      <c r="I46" s="56">
        <f t="shared" si="14"/>
        <v>6.626751592356688</v>
      </c>
      <c r="J46" s="26">
        <v>1.56</v>
      </c>
      <c r="K46" s="57">
        <f t="shared" si="18"/>
        <v>64.92096</v>
      </c>
      <c r="L46" s="52">
        <f t="shared" si="19"/>
        <v>32.0668416</v>
      </c>
    </row>
    <row r="47" spans="1:12" ht="12.75">
      <c r="A47" s="46">
        <v>39648</v>
      </c>
      <c r="B47" s="1">
        <v>612</v>
      </c>
      <c r="C47" s="1">
        <v>48.2</v>
      </c>
      <c r="D47" s="1">
        <v>0.699</v>
      </c>
      <c r="F47" s="48">
        <f t="shared" si="20"/>
        <v>7.875816993464052</v>
      </c>
      <c r="G47" s="49">
        <f t="shared" si="21"/>
        <v>32.344128</v>
      </c>
      <c r="I47" s="56">
        <f>F47-(F47/100*15)</f>
        <v>6.694444444444444</v>
      </c>
      <c r="J47" s="26">
        <v>1.56</v>
      </c>
      <c r="K47" s="57">
        <f>I47*J47*B47/100</f>
        <v>63.913199999999996</v>
      </c>
      <c r="L47" s="52">
        <f>K47-G47</f>
        <v>31.569072</v>
      </c>
    </row>
    <row r="48" spans="1:13" ht="12.75">
      <c r="A48" s="46">
        <v>39660</v>
      </c>
      <c r="B48" s="1">
        <v>655</v>
      </c>
      <c r="C48" s="1">
        <v>49.99</v>
      </c>
      <c r="D48" s="1">
        <v>0.734</v>
      </c>
      <c r="F48" s="48">
        <f t="shared" si="20"/>
        <v>7.632061068702291</v>
      </c>
      <c r="G48" s="49">
        <f t="shared" si="21"/>
        <v>35.224953600000006</v>
      </c>
      <c r="I48" s="56">
        <f aca="true" t="shared" si="22" ref="I48:I54">F48-(F48/100*15)</f>
        <v>6.4872519083969475</v>
      </c>
      <c r="J48" s="26">
        <v>1.46</v>
      </c>
      <c r="K48" s="57">
        <f aca="true" t="shared" si="23" ref="K48:K53">I48*J48*B48/100</f>
        <v>62.03759000000001</v>
      </c>
      <c r="L48" s="52">
        <f aca="true" t="shared" si="24" ref="L48:L53">K48-G48</f>
        <v>26.812636400000002</v>
      </c>
      <c r="M48" s="58">
        <f>SUM(L45:L48)</f>
        <v>117.5835428</v>
      </c>
    </row>
    <row r="49" spans="1:12" ht="12.75">
      <c r="A49" s="46">
        <v>39685</v>
      </c>
      <c r="B49" s="1">
        <v>558</v>
      </c>
      <c r="C49" s="1">
        <v>42.53</v>
      </c>
      <c r="D49" s="1">
        <v>0.734</v>
      </c>
      <c r="F49" s="48">
        <f t="shared" si="20"/>
        <v>7.621863799283155</v>
      </c>
      <c r="G49" s="49">
        <f t="shared" si="21"/>
        <v>29.968339200000003</v>
      </c>
      <c r="I49" s="56">
        <f t="shared" si="22"/>
        <v>6.478584229390681</v>
      </c>
      <c r="J49" s="26">
        <v>1.46</v>
      </c>
      <c r="K49" s="57">
        <f t="shared" si="23"/>
        <v>52.77973</v>
      </c>
      <c r="L49" s="52">
        <f t="shared" si="24"/>
        <v>22.811390799999998</v>
      </c>
    </row>
    <row r="50" spans="1:13" ht="12.75">
      <c r="A50" s="46">
        <v>39691</v>
      </c>
      <c r="B50" s="1">
        <v>567</v>
      </c>
      <c r="C50" s="1">
        <v>45.82</v>
      </c>
      <c r="D50" s="1">
        <v>0.734</v>
      </c>
      <c r="F50" s="48">
        <f t="shared" si="20"/>
        <v>8.081128747795415</v>
      </c>
      <c r="G50" s="49">
        <f t="shared" si="21"/>
        <v>32.2866048</v>
      </c>
      <c r="I50" s="56">
        <f t="shared" si="22"/>
        <v>6.868959435626103</v>
      </c>
      <c r="J50" s="26">
        <v>1.46</v>
      </c>
      <c r="K50" s="57">
        <f t="shared" si="23"/>
        <v>56.86262</v>
      </c>
      <c r="L50" s="52">
        <f t="shared" si="24"/>
        <v>24.5760152</v>
      </c>
      <c r="M50" s="58">
        <f>SUM(L49:L50)</f>
        <v>47.387406</v>
      </c>
    </row>
    <row r="51" spans="1:12" ht="12.75">
      <c r="A51" s="46">
        <v>39696</v>
      </c>
      <c r="B51" s="1">
        <v>553</v>
      </c>
      <c r="C51" s="1">
        <v>42.23</v>
      </c>
      <c r="D51" s="1">
        <v>0.734</v>
      </c>
      <c r="F51" s="48">
        <f t="shared" si="20"/>
        <v>7.636528028933092</v>
      </c>
      <c r="G51" s="49">
        <f t="shared" si="21"/>
        <v>29.756947199999995</v>
      </c>
      <c r="I51" s="56">
        <f t="shared" si="22"/>
        <v>6.491048824593128</v>
      </c>
      <c r="J51" s="26">
        <v>1.46</v>
      </c>
      <c r="K51" s="57">
        <f t="shared" si="23"/>
        <v>52.407430000000005</v>
      </c>
      <c r="L51" s="52">
        <f t="shared" si="24"/>
        <v>22.65048280000001</v>
      </c>
    </row>
    <row r="52" spans="1:12" ht="12.75">
      <c r="A52" s="46">
        <v>39703</v>
      </c>
      <c r="B52" s="1">
        <v>588</v>
      </c>
      <c r="C52" s="1">
        <v>46.19</v>
      </c>
      <c r="D52" s="1">
        <v>0.734</v>
      </c>
      <c r="F52" s="48">
        <f t="shared" si="20"/>
        <v>7.855442176870748</v>
      </c>
      <c r="G52" s="49">
        <f t="shared" si="21"/>
        <v>32.5473216</v>
      </c>
      <c r="I52" s="56">
        <f t="shared" si="22"/>
        <v>6.677125850340136</v>
      </c>
      <c r="J52" s="26">
        <v>1.46</v>
      </c>
      <c r="K52" s="57">
        <f t="shared" si="23"/>
        <v>57.32179</v>
      </c>
      <c r="L52" s="52">
        <f t="shared" si="24"/>
        <v>24.774468400000003</v>
      </c>
    </row>
    <row r="53" spans="1:13" ht="12.75">
      <c r="A53" s="46">
        <v>39710</v>
      </c>
      <c r="B53" s="1">
        <v>530</v>
      </c>
      <c r="C53" s="1">
        <v>43.26</v>
      </c>
      <c r="D53" s="1">
        <v>0.734</v>
      </c>
      <c r="F53" s="48">
        <f t="shared" si="20"/>
        <v>8.162264150943397</v>
      </c>
      <c r="G53" s="49">
        <f t="shared" si="21"/>
        <v>30.4827264</v>
      </c>
      <c r="I53" s="56">
        <f t="shared" si="22"/>
        <v>6.937924528301887</v>
      </c>
      <c r="J53" s="26">
        <v>1.46</v>
      </c>
      <c r="K53" s="57">
        <f t="shared" si="23"/>
        <v>53.68566</v>
      </c>
      <c r="L53" s="52">
        <f t="shared" si="24"/>
        <v>23.202933599999998</v>
      </c>
      <c r="M53" s="58">
        <f>SUM(L51:L53)</f>
        <v>70.6278848</v>
      </c>
    </row>
    <row r="54" spans="1:12" ht="12.75">
      <c r="A54" s="46">
        <v>39761</v>
      </c>
      <c r="B54" s="1">
        <v>586</v>
      </c>
      <c r="C54" s="1">
        <v>49.58</v>
      </c>
      <c r="D54" s="1">
        <v>0.714</v>
      </c>
      <c r="F54" s="48">
        <f aca="true" t="shared" si="25" ref="F54:F59">C54/B54*100</f>
        <v>8.46075085324232</v>
      </c>
      <c r="G54" s="49">
        <f aca="true" t="shared" si="26" ref="G54:G59">(D54*C54)-(D54*C54*0.04)</f>
        <v>33.98411519999999</v>
      </c>
      <c r="I54" s="56">
        <f t="shared" si="22"/>
        <v>7.191638225255972</v>
      </c>
      <c r="J54" s="60">
        <v>1.1</v>
      </c>
      <c r="K54" s="57">
        <f aca="true" t="shared" si="27" ref="K54:K59">I54*J54*B54/100</f>
        <v>46.3573</v>
      </c>
      <c r="L54" s="52">
        <f aca="true" t="shared" si="28" ref="L54:L59">K54-G54</f>
        <v>12.373184800000011</v>
      </c>
    </row>
    <row r="55" spans="1:13" ht="12.75">
      <c r="A55" s="46">
        <v>39772</v>
      </c>
      <c r="B55" s="1">
        <v>557</v>
      </c>
      <c r="C55" s="1">
        <v>47.38</v>
      </c>
      <c r="D55" s="1">
        <v>0.659</v>
      </c>
      <c r="F55" s="48">
        <f t="shared" si="25"/>
        <v>8.506283662477559</v>
      </c>
      <c r="G55" s="49">
        <f t="shared" si="26"/>
        <v>29.974483200000005</v>
      </c>
      <c r="I55" s="56">
        <f>F55-(F55/100*15)</f>
        <v>7.230341113105925</v>
      </c>
      <c r="J55" s="60">
        <v>1.1</v>
      </c>
      <c r="K55" s="57">
        <f t="shared" si="27"/>
        <v>44.30030000000001</v>
      </c>
      <c r="L55" s="52">
        <f t="shared" si="28"/>
        <v>14.325816800000002</v>
      </c>
      <c r="M55" s="58">
        <f>SUM(L54:L55)</f>
        <v>26.699001600000013</v>
      </c>
    </row>
    <row r="56" spans="1:12" ht="12.75">
      <c r="A56" s="46">
        <v>39787</v>
      </c>
      <c r="B56" s="1">
        <v>565</v>
      </c>
      <c r="C56" s="1">
        <v>50.57</v>
      </c>
      <c r="D56" s="1">
        <v>0.659</v>
      </c>
      <c r="F56" s="48">
        <f t="shared" si="25"/>
        <v>8.950442477876107</v>
      </c>
      <c r="G56" s="49">
        <f t="shared" si="26"/>
        <v>31.992604800000002</v>
      </c>
      <c r="I56" s="56">
        <f>F56-(F56/100*15)</f>
        <v>7.607876106194691</v>
      </c>
      <c r="J56" s="60">
        <v>1.1</v>
      </c>
      <c r="K56" s="57">
        <f t="shared" si="27"/>
        <v>47.28295000000001</v>
      </c>
      <c r="L56" s="52">
        <f t="shared" si="28"/>
        <v>15.290345200000004</v>
      </c>
    </row>
    <row r="57" spans="1:12" ht="12.75">
      <c r="A57" s="46">
        <v>39794</v>
      </c>
      <c r="B57" s="1">
        <v>646</v>
      </c>
      <c r="C57" s="1">
        <v>55.6</v>
      </c>
      <c r="D57" s="1">
        <v>0.659</v>
      </c>
      <c r="F57" s="48">
        <f t="shared" si="25"/>
        <v>8.606811145510836</v>
      </c>
      <c r="G57" s="49">
        <f t="shared" si="26"/>
        <v>35.174784</v>
      </c>
      <c r="I57" s="56">
        <f>F57-(F57/100*15)</f>
        <v>7.315789473684211</v>
      </c>
      <c r="J57" s="60">
        <v>1.1</v>
      </c>
      <c r="K57" s="57">
        <f t="shared" si="27"/>
        <v>51.986000000000004</v>
      </c>
      <c r="L57" s="52">
        <f t="shared" si="28"/>
        <v>16.811216</v>
      </c>
    </row>
    <row r="58" spans="1:12" ht="12.75">
      <c r="A58" s="46">
        <v>39800</v>
      </c>
      <c r="B58" s="1">
        <v>588</v>
      </c>
      <c r="C58" s="1">
        <v>42.95</v>
      </c>
      <c r="D58" s="1">
        <v>0.659</v>
      </c>
      <c r="F58" s="48">
        <f t="shared" si="25"/>
        <v>7.304421768707484</v>
      </c>
      <c r="G58" s="49">
        <f t="shared" si="26"/>
        <v>27.171888000000003</v>
      </c>
      <c r="I58" s="56">
        <f>F58-(F58/100*15)</f>
        <v>6.208758503401361</v>
      </c>
      <c r="J58" s="60">
        <v>1.1</v>
      </c>
      <c r="K58" s="57">
        <f t="shared" si="27"/>
        <v>40.15825000000001</v>
      </c>
      <c r="L58" s="52">
        <f t="shared" si="28"/>
        <v>12.986362000000007</v>
      </c>
    </row>
    <row r="59" spans="1:13" ht="12.75">
      <c r="A59" s="46">
        <v>39804</v>
      </c>
      <c r="B59" s="1">
        <v>257</v>
      </c>
      <c r="C59" s="1">
        <v>35.62</v>
      </c>
      <c r="D59" s="1">
        <v>0.634</v>
      </c>
      <c r="F59" s="48">
        <f t="shared" si="25"/>
        <v>13.859922178988327</v>
      </c>
      <c r="G59" s="49">
        <f t="shared" si="26"/>
        <v>21.6797568</v>
      </c>
      <c r="I59" s="56">
        <f>F59-(F59/100*15)</f>
        <v>11.780933852140079</v>
      </c>
      <c r="J59" s="26">
        <v>1.46</v>
      </c>
      <c r="K59" s="57">
        <f t="shared" si="27"/>
        <v>44.20442</v>
      </c>
      <c r="L59" s="52">
        <f t="shared" si="28"/>
        <v>22.5246632</v>
      </c>
      <c r="M59" s="58">
        <f>SUM(L56:L59)</f>
        <v>67.61258640000001</v>
      </c>
    </row>
  </sheetData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9" sqref="C9"/>
    </sheetView>
  </sheetViews>
  <sheetFormatPr defaultColWidth="11.421875" defaultRowHeight="12.75"/>
  <cols>
    <col min="1" max="1" width="2.421875" style="0" customWidth="1"/>
    <col min="2" max="2" width="19.140625" style="0" customWidth="1"/>
    <col min="3" max="3" width="12.421875" style="0" customWidth="1"/>
    <col min="4" max="4" width="2.00390625" style="0" customWidth="1"/>
    <col min="5" max="5" width="11.8515625" style="0" customWidth="1"/>
    <col min="6" max="6" width="14.140625" style="0" customWidth="1"/>
  </cols>
  <sheetData>
    <row r="1" s="44" customFormat="1" ht="15.75">
      <c r="A1" s="2" t="s">
        <v>40</v>
      </c>
    </row>
    <row r="3" ht="12.75">
      <c r="B3" s="15" t="s">
        <v>28</v>
      </c>
    </row>
    <row r="4" spans="5:6" ht="12.75">
      <c r="E4" t="s">
        <v>26</v>
      </c>
      <c r="F4" t="s">
        <v>27</v>
      </c>
    </row>
    <row r="5" spans="2:6" ht="12.75">
      <c r="B5" t="s">
        <v>24</v>
      </c>
      <c r="C5">
        <v>6.89</v>
      </c>
      <c r="E5" s="1">
        <v>1</v>
      </c>
      <c r="F5" s="26">
        <f aca="true" t="shared" si="0" ref="F5:F16">IPMT($C$6,E5,$C$7,$C$8)</f>
        <v>-8.038333333333334</v>
      </c>
    </row>
    <row r="6" spans="2:6" ht="12.75">
      <c r="B6" t="s">
        <v>23</v>
      </c>
      <c r="C6" s="27">
        <f>(C5/100)/12</f>
        <v>0.005741666666666667</v>
      </c>
      <c r="E6" s="1">
        <v>2</v>
      </c>
      <c r="F6" s="26">
        <f t="shared" si="0"/>
        <v>-7.389363493926384</v>
      </c>
    </row>
    <row r="7" spans="2:6" ht="12.75">
      <c r="B7" t="s">
        <v>22</v>
      </c>
      <c r="C7">
        <v>12</v>
      </c>
      <c r="E7" s="1">
        <v>3</v>
      </c>
      <c r="F7" s="26">
        <f t="shared" si="0"/>
        <v>-6.736667486024829</v>
      </c>
    </row>
    <row r="8" spans="2:6" ht="12.75">
      <c r="B8" t="s">
        <v>25</v>
      </c>
      <c r="C8">
        <v>1400</v>
      </c>
      <c r="E8" s="1">
        <v>4</v>
      </c>
      <c r="F8" s="26">
        <f t="shared" si="0"/>
        <v>-6.08022391521126</v>
      </c>
    </row>
    <row r="9" spans="5:6" ht="12.75">
      <c r="E9" s="1">
        <v>5</v>
      </c>
      <c r="F9" s="26">
        <f t="shared" si="0"/>
        <v>-5.42001126422857</v>
      </c>
    </row>
    <row r="10" spans="5:6" ht="12.75">
      <c r="E10" s="1">
        <v>6</v>
      </c>
      <c r="F10" s="26">
        <f t="shared" si="0"/>
        <v>-4.756007892274847</v>
      </c>
    </row>
    <row r="11" spans="5:6" ht="12.75">
      <c r="E11" s="1">
        <v>7</v>
      </c>
      <c r="F11" s="26">
        <f t="shared" si="0"/>
        <v>-4.088192034293799</v>
      </c>
    </row>
    <row r="12" spans="5:6" ht="12.75">
      <c r="E12" s="1">
        <v>8</v>
      </c>
      <c r="F12" s="26">
        <f t="shared" si="0"/>
        <v>-3.416541800261544</v>
      </c>
    </row>
    <row r="13" spans="5:6" ht="12.75">
      <c r="E13" s="1">
        <v>9</v>
      </c>
      <c r="F13" s="26">
        <f t="shared" si="0"/>
        <v>-2.741035174468864</v>
      </c>
    </row>
    <row r="14" spans="5:6" ht="12.75">
      <c r="E14" s="1">
        <v>10</v>
      </c>
      <c r="F14" s="26">
        <f t="shared" si="0"/>
        <v>-2.0616500147997745</v>
      </c>
    </row>
    <row r="15" spans="5:6" ht="12.75">
      <c r="E15" s="1">
        <v>11</v>
      </c>
      <c r="F15" s="26">
        <f t="shared" si="0"/>
        <v>-1.3783640520055513</v>
      </c>
    </row>
    <row r="16" spans="5:6" ht="12.75">
      <c r="E16" s="1">
        <v>12</v>
      </c>
      <c r="F16" s="26">
        <f t="shared" si="0"/>
        <v>-0.6911548889750032</v>
      </c>
    </row>
    <row r="17" spans="5:6" ht="12.75">
      <c r="E17" s="1"/>
      <c r="F17" s="26"/>
    </row>
    <row r="18" spans="5:6" ht="12.75">
      <c r="E18" s="1" t="s">
        <v>29</v>
      </c>
      <c r="F18" s="26">
        <f>SUM(F5:F17)</f>
        <v>-52.797545349803755</v>
      </c>
    </row>
    <row r="19" spans="5:6" ht="12.75">
      <c r="E19" s="1"/>
      <c r="F19" s="26"/>
    </row>
    <row r="20" spans="5:6" ht="12.75">
      <c r="E20" s="1" t="s">
        <v>30</v>
      </c>
      <c r="F20" s="26">
        <f>C8-F18</f>
        <v>1452.7975453498038</v>
      </c>
    </row>
    <row r="21" spans="5:6" ht="12.75">
      <c r="E21" s="29" t="s">
        <v>31</v>
      </c>
      <c r="F21" s="30">
        <f>F20/C7</f>
        <v>121.06646211248365</v>
      </c>
    </row>
    <row r="22" spans="5:6" ht="12.75">
      <c r="E22" s="1"/>
      <c r="F22" s="26"/>
    </row>
    <row r="23" spans="5:6" ht="12.75">
      <c r="E23" s="1" t="s">
        <v>56</v>
      </c>
      <c r="F23" s="51">
        <v>39295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xxx</cp:lastModifiedBy>
  <cp:lastPrinted>2007-05-22T01:26:11Z</cp:lastPrinted>
  <dcterms:created xsi:type="dcterms:W3CDTF">2007-05-12T11:27:49Z</dcterms:created>
  <dcterms:modified xsi:type="dcterms:W3CDTF">2008-12-27T12:19:56Z</dcterms:modified>
  <cp:category/>
  <cp:version/>
  <cp:contentType/>
  <cp:contentStatus/>
</cp:coreProperties>
</file>